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NewWebsite/_pecourse/1D4_Buckling/"/>
    </mc:Choice>
  </mc:AlternateContent>
  <xr:revisionPtr revIDLastSave="0" documentId="13_ncr:1_{09D72CE0-1594-F044-B30F-7574E6D15DBF}" xr6:coauthVersionLast="36" xr6:coauthVersionMax="36" xr10:uidLastSave="{00000000-0000-0000-0000-000000000000}"/>
  <bookViews>
    <workbookView xWindow="0" yWindow="460" windowWidth="51200" windowHeight="26760" tabRatio="500" xr2:uid="{00000000-000D-0000-FFFF-FFFF00000000}"/>
  </bookViews>
  <sheets>
    <sheet name="Euler Buckling Folding Shelf" sheetId="3" r:id="rId1"/>
  </sheets>
  <definedNames>
    <definedName name="_density">'Euler Buckling Folding Shelf'!#REF!</definedName>
    <definedName name="_rou">'Euler Buckling Folding Shelf'!#REF!</definedName>
    <definedName name="A_active">'Euler Buckling Folding Shelf'!$E$42</definedName>
    <definedName name="A_overide">'Euler Buckling Folding Shelf'!$E$40</definedName>
    <definedName name="A_table">'Euler Buckling Folding Shelf'!$E$37</definedName>
    <definedName name="Across">'Euler Buckling Folding Shelf'!#REF!</definedName>
    <definedName name="C_active">'Euler Buckling Folding Shelf'!$E$32</definedName>
    <definedName name="C_buckle">'Euler Buckling Folding Shelf'!#REF!</definedName>
    <definedName name="C_constant">'Euler Buckling Folding Shelf'!#REF!</definedName>
    <definedName name="C_mat">'Euler Buckling Folding Shelf'!$E$24</definedName>
    <definedName name="C_select">'Euler Buckling Folding Shelf'!#REF!</definedName>
    <definedName name="E_youngmod">'Euler Buckling Folding Shelf'!$E$25</definedName>
    <definedName name="F_C">#REF!</definedName>
    <definedName name="Fbuckle">'Euler Buckling Folding Shelf'!$E$47</definedName>
    <definedName name="ForceTOT">'Euler Buckling Folding Shelf'!$E$10</definedName>
    <definedName name="H_O">'Euler Buckling Folding Shelf'!$E$16</definedName>
    <definedName name="I_active">'Euler Buckling Folding Shelf'!$E$41</definedName>
    <definedName name="I_overide">'Euler Buckling Folding Shelf'!$E$39</definedName>
    <definedName name="I_polar">'Euler Buckling Folding Shelf'!#REF!</definedName>
    <definedName name="I_table">'Euler Buckling Folding Shelf'!$E$36</definedName>
    <definedName name="k_active">'Euler Buckling Folding Shelf'!$E$43</definedName>
    <definedName name="k_const">'Euler Buckling Folding Shelf'!#REF!</definedName>
    <definedName name="k_overide">'Euler Buckling Folding Shelf'!#REF!</definedName>
    <definedName name="L_B">'Euler Buckling Folding Shelf'!$E$17</definedName>
    <definedName name="L_c">#REF!</definedName>
    <definedName name="L_column">'Euler Buckling Folding Shelf'!$E$33</definedName>
    <definedName name="L_star">'Euler Buckling Folding Shelf'!$E$12</definedName>
    <definedName name="mode">'Euler Buckling Folding Shelf'!$M$9</definedName>
    <definedName name="N_links">'Euler Buckling Folding Shelf'!$E$14</definedName>
    <definedName name="select_boundary">'Euler Buckling Folding Shelf'!$E$28</definedName>
    <definedName name="select_Cconst">'Euler Buckling Folding Shelf'!$E$31</definedName>
    <definedName name="select_geom">'Euler Buckling Folding Shelf'!$E$35</definedName>
    <definedName name="select_overide">'Euler Buckling Folding Shelf'!$E$38</definedName>
    <definedName name="sigma_yield">'Euler Buckling Folding Shelf'!$E$27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3" l="1"/>
  <c r="E15" i="3" l="1"/>
  <c r="E18" i="3"/>
  <c r="E19" i="3" s="1"/>
  <c r="E21" i="3"/>
  <c r="E22" i="3" s="1"/>
  <c r="E13" i="3"/>
  <c r="E11" i="3" l="1"/>
  <c r="E34" i="3"/>
  <c r="Q24" i="3" l="1"/>
  <c r="N24" i="3" s="1"/>
  <c r="Q23" i="3"/>
  <c r="N23" i="3" s="1"/>
  <c r="P24" i="3"/>
  <c r="O24" i="3" s="1"/>
  <c r="P23" i="3"/>
  <c r="O23" i="3" s="1"/>
  <c r="P22" i="3"/>
  <c r="O22" i="3" s="1"/>
  <c r="P21" i="3"/>
  <c r="O21" i="3" s="1"/>
  <c r="Q21" i="3"/>
  <c r="R22" i="3"/>
  <c r="Q22" i="3"/>
  <c r="R21" i="3"/>
  <c r="E27" i="3"/>
  <c r="E30" i="3"/>
  <c r="E29" i="3"/>
  <c r="N21" i="3" l="1"/>
  <c r="N22" i="3"/>
  <c r="E36" i="3"/>
  <c r="E41" i="3" s="1"/>
  <c r="E37" i="3"/>
  <c r="E42" i="3" s="1"/>
  <c r="E32" i="3"/>
  <c r="E26" i="3"/>
  <c r="E25" i="3" s="1"/>
  <c r="E43" i="3" l="1"/>
  <c r="E47" i="3" l="1"/>
  <c r="E52" i="3" s="1"/>
  <c r="E55" i="3"/>
  <c r="E56" i="3" s="1"/>
  <c r="E45" i="3"/>
  <c r="E46" i="3" s="1"/>
  <c r="E49" i="3"/>
  <c r="E50" i="3" s="1"/>
  <c r="E48" i="3" l="1"/>
  <c r="E53" i="3"/>
</calcChain>
</file>

<file path=xl/sharedStrings.xml><?xml version="1.0" encoding="utf-8"?>
<sst xmlns="http://schemas.openxmlformats.org/spreadsheetml/2006/main" count="151" uniqueCount="115">
  <si>
    <t>Author: Folkers Rojas</t>
  </si>
  <si>
    <t>Description</t>
  </si>
  <si>
    <t>Value</t>
  </si>
  <si>
    <t>Unit</t>
  </si>
  <si>
    <t>Parameters</t>
  </si>
  <si>
    <t>Metric Values</t>
  </si>
  <si>
    <t>N</t>
  </si>
  <si>
    <t>Fill IN</t>
  </si>
  <si>
    <t>Results</t>
  </si>
  <si>
    <t>Materials</t>
  </si>
  <si>
    <t>USER Input</t>
  </si>
  <si>
    <t>lbf</t>
  </si>
  <si>
    <t>See Table</t>
  </si>
  <si>
    <t>Comments</t>
  </si>
  <si>
    <t>Drop Down Select</t>
  </si>
  <si>
    <t>Boundary Conditions</t>
  </si>
  <si>
    <t>Material of Column</t>
  </si>
  <si>
    <t>Critical Length</t>
  </si>
  <si>
    <t>Young's Modulus</t>
  </si>
  <si>
    <t>Aluminum</t>
  </si>
  <si>
    <t>GPa</t>
  </si>
  <si>
    <t>User Input</t>
  </si>
  <si>
    <t>I (m^4)</t>
  </si>
  <si>
    <t>Rectangular Solid</t>
  </si>
  <si>
    <t>Rectangular Hollow</t>
  </si>
  <si>
    <t>Circular Solid</t>
  </si>
  <si>
    <t>Circular Hollow</t>
  </si>
  <si>
    <t>Option C</t>
  </si>
  <si>
    <t>Overide I Column?</t>
  </si>
  <si>
    <t>Yes</t>
  </si>
  <si>
    <t>No</t>
  </si>
  <si>
    <t>Yes/No</t>
  </si>
  <si>
    <t>Axial Buckling</t>
  </si>
  <si>
    <t>m</t>
  </si>
  <si>
    <t>Title: Euler Buckling</t>
  </si>
  <si>
    <t>Axial Force to Buckle</t>
  </si>
  <si>
    <t>m^2</t>
  </si>
  <si>
    <t>Area</t>
  </si>
  <si>
    <t>Both ends pinned</t>
  </si>
  <si>
    <t>Both ends built in</t>
  </si>
  <si>
    <t>One end pinned, one built in</t>
  </si>
  <si>
    <t>One end built in, one end free</t>
  </si>
  <si>
    <t>One end built in, free w/ fixed rotation</t>
  </si>
  <si>
    <t>One end pinned, free w/ fixed rotation</t>
  </si>
  <si>
    <t>C_ideal</t>
  </si>
  <si>
    <t xml:space="preserve">   Cross Sectional area</t>
  </si>
  <si>
    <t xml:space="preserve">   Cross sectional area - overide</t>
  </si>
  <si>
    <t>Column geometry</t>
  </si>
  <si>
    <t>m^4</t>
  </si>
  <si>
    <t>Column Geometry</t>
  </si>
  <si>
    <t>Cross Sectional Area</t>
  </si>
  <si>
    <t>C_AISC recommended</t>
  </si>
  <si>
    <t xml:space="preserve">   Young's Modulus </t>
  </si>
  <si>
    <t xml:space="preserve">   Buckling Constant (C_AISC recommended)</t>
  </si>
  <si>
    <t xml:space="preserve">   Buckling Constant (C_ideal)</t>
  </si>
  <si>
    <t>Select Buckling Constant (Ideal or IASC)</t>
  </si>
  <si>
    <t xml:space="preserve">   Buckling Constant Active</t>
  </si>
  <si>
    <t>Cross sectional area - Active</t>
  </si>
  <si>
    <t>Radius of gyration - Active</t>
  </si>
  <si>
    <t>Yield Strength</t>
  </si>
  <si>
    <t>MPa</t>
  </si>
  <si>
    <t xml:space="preserve">   Yield Strength</t>
  </si>
  <si>
    <t>Pg 51-2 Mechanical Engineering Ref. Manual</t>
  </si>
  <si>
    <t>0) Euler theory requirement: stress cannot exceed half of the compressive yield strenght of the column material</t>
  </si>
  <si>
    <t>Slenderness Ratio</t>
  </si>
  <si>
    <t>See comment 1</t>
  </si>
  <si>
    <t>Source: Section 51-2 PE Mechanical Engineering Reference manual</t>
  </si>
  <si>
    <t xml:space="preserve">   Area moment of Inertia - Overide</t>
  </si>
  <si>
    <t>Area moment of inertia  - Active</t>
  </si>
  <si>
    <t xml:space="preserve">   Area moment of Inertia from Table</t>
  </si>
  <si>
    <t>Height</t>
  </si>
  <si>
    <t>Width</t>
  </si>
  <si>
    <t>Thickness</t>
  </si>
  <si>
    <t>Circular Geometry</t>
  </si>
  <si>
    <t>mm^4</t>
  </si>
  <si>
    <t>Rectangular (mm Units)</t>
  </si>
  <si>
    <t>mm^2</t>
  </si>
  <si>
    <t>Option B</t>
  </si>
  <si>
    <t>Stress</t>
  </si>
  <si>
    <t>-</t>
  </si>
  <si>
    <t>Euler Theory Requirement</t>
  </si>
  <si>
    <t>See Comment 0</t>
  </si>
  <si>
    <t>Diameter (OD)</t>
  </si>
  <si>
    <t>Pa</t>
  </si>
  <si>
    <t>1) Typical critical slender ratio (L/k) range from 80 to 120</t>
  </si>
  <si>
    <t xml:space="preserve">   Check for Intermeiate Column Analysis</t>
  </si>
  <si>
    <t>Intermediate Column(J.B. Johnson Formula)</t>
  </si>
  <si>
    <t>Critical Stress (Johnson Formula)</t>
  </si>
  <si>
    <t>Critical Buckling for Intermdiate Columns</t>
  </si>
  <si>
    <t>ONLY Intermediate Column</t>
  </si>
  <si>
    <t>Copper</t>
  </si>
  <si>
    <t>Nylon</t>
  </si>
  <si>
    <t>Stainless AISI 302</t>
  </si>
  <si>
    <t>Steel Structural ASTM A36</t>
  </si>
  <si>
    <t>Titanium Alloy</t>
  </si>
  <si>
    <t>Option A</t>
  </si>
  <si>
    <t>in</t>
  </si>
  <si>
    <t>Force Equilibrium</t>
  </si>
  <si>
    <t>MAX LOAD Capacity (Advertised)</t>
  </si>
  <si>
    <t>Number of Links</t>
  </si>
  <si>
    <t>Geometry: Length to support (L_B)</t>
  </si>
  <si>
    <t>Geometry: Height to support (H_O)</t>
  </si>
  <si>
    <t>RESULT: Axial Force per Support link</t>
  </si>
  <si>
    <t>From Geometry of Support Link</t>
  </si>
  <si>
    <t>Location of Applied Force that holds 500 lbs</t>
  </si>
  <si>
    <t>MAX LOAD Capacity (Advertised) PER LINK</t>
  </si>
  <si>
    <t>CRITICAL LENGTH TO WITHSTAND 500 LBS</t>
  </si>
  <si>
    <t>I_Direction 1</t>
  </si>
  <si>
    <t>I_Direction 2</t>
  </si>
  <si>
    <t>Date: 20200815 Updated</t>
  </si>
  <si>
    <t>Location of Applied Force (L_C)</t>
  </si>
  <si>
    <t>Downward Force (LOAD) Applied (Force_Total)</t>
  </si>
  <si>
    <t>Downward Force (F_C) for a single Link</t>
  </si>
  <si>
    <t>Ref Only</t>
  </si>
  <si>
    <t>Euler Buckling 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</si>
</sst>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164" fontId="0" fillId="4" borderId="1" xfId="0" applyNumberFormat="1" applyFill="1" applyBorder="1"/>
    <xf numFmtId="164" fontId="5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/>
    <xf numFmtId="165" fontId="0" fillId="2" borderId="1" xfId="0" applyNumberFormat="1" applyFill="1" applyBorder="1"/>
    <xf numFmtId="11" fontId="0" fillId="2" borderId="1" xfId="0" applyNumberFormat="1" applyFill="1" applyBorder="1"/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0" fontId="6" fillId="2" borderId="0" xfId="0" applyFont="1" applyFill="1" applyAlignment="1"/>
    <xf numFmtId="0" fontId="0" fillId="5" borderId="1" xfId="0" applyFill="1" applyBorder="1"/>
    <xf numFmtId="0" fontId="0" fillId="5" borderId="1" xfId="0" applyFont="1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164" fontId="0" fillId="2" borderId="1" xfId="0" applyNumberFormat="1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18" xfId="0" applyFill="1" applyBorder="1"/>
    <xf numFmtId="2" fontId="0" fillId="5" borderId="1" xfId="0" applyNumberFormat="1" applyFill="1" applyBorder="1"/>
    <xf numFmtId="0" fontId="0" fillId="2" borderId="1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165" fontId="0" fillId="2" borderId="14" xfId="0" applyNumberFormat="1" applyFill="1" applyBorder="1"/>
    <xf numFmtId="0" fontId="0" fillId="2" borderId="6" xfId="0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2" fillId="2" borderId="2" xfId="0" applyFont="1" applyFill="1" applyBorder="1" applyAlignment="1">
      <alignment horizontal="left"/>
    </xf>
    <xf numFmtId="2" fontId="0" fillId="5" borderId="1" xfId="0" applyNumberFormat="1" applyFont="1" applyFill="1" applyBorder="1"/>
    <xf numFmtId="0" fontId="2" fillId="2" borderId="2" xfId="0" applyFont="1" applyFill="1" applyBorder="1"/>
    <xf numFmtId="0" fontId="0" fillId="5" borderId="1" xfId="0" applyFont="1" applyFill="1" applyBorder="1" applyAlignment="1">
      <alignment horizontal="center" wrapText="1"/>
    </xf>
    <xf numFmtId="11" fontId="5" fillId="2" borderId="1" xfId="0" applyNumberFormat="1" applyFont="1" applyFill="1" applyBorder="1"/>
    <xf numFmtId="11" fontId="0" fillId="4" borderId="1" xfId="0" applyNumberFormat="1" applyFill="1" applyBorder="1"/>
    <xf numFmtId="0" fontId="0" fillId="6" borderId="1" xfId="0" applyFill="1" applyBorder="1"/>
    <xf numFmtId="0" fontId="0" fillId="7" borderId="1" xfId="0" applyFill="1" applyBorder="1"/>
    <xf numFmtId="1" fontId="0" fillId="2" borderId="1" xfId="0" applyNumberFormat="1" applyFill="1" applyBorder="1"/>
    <xf numFmtId="0" fontId="0" fillId="8" borderId="1" xfId="0" applyFill="1" applyBorder="1"/>
    <xf numFmtId="0" fontId="5" fillId="4" borderId="1" xfId="0" applyFont="1" applyFill="1" applyBorder="1"/>
    <xf numFmtId="11" fontId="0" fillId="7" borderId="1" xfId="0" applyNumberFormat="1" applyFill="1" applyBorder="1"/>
    <xf numFmtId="0" fontId="0" fillId="2" borderId="7" xfId="0" applyFill="1" applyBorder="1" applyAlignment="1">
      <alignment horizontal="left" vertical="top"/>
    </xf>
    <xf numFmtId="0" fontId="0" fillId="9" borderId="1" xfId="0" applyFill="1" applyBorder="1"/>
    <xf numFmtId="0" fontId="0" fillId="2" borderId="5" xfId="0" applyFill="1" applyBorder="1"/>
    <xf numFmtId="0" fontId="0" fillId="2" borderId="6" xfId="0" applyFill="1" applyBorder="1"/>
    <xf numFmtId="11" fontId="0" fillId="6" borderId="1" xfId="0" applyNumberFormat="1" applyFill="1" applyBorder="1"/>
    <xf numFmtId="0" fontId="2" fillId="2" borderId="2" xfId="0" applyFont="1" applyFill="1" applyBorder="1"/>
    <xf numFmtId="0" fontId="2" fillId="2" borderId="4" xfId="0" applyFont="1" applyFill="1" applyBorder="1"/>
    <xf numFmtId="2" fontId="0" fillId="2" borderId="1" xfId="0" applyNumberFormat="1" applyFont="1" applyFill="1" applyBorder="1"/>
    <xf numFmtId="2" fontId="0" fillId="2" borderId="5" xfId="0" applyNumberFormat="1" applyFill="1" applyBorder="1"/>
    <xf numFmtId="2" fontId="2" fillId="2" borderId="1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0" fillId="4" borderId="1" xfId="0" applyNumberFormat="1" applyFont="1" applyFill="1" applyBorder="1"/>
    <xf numFmtId="164" fontId="8" fillId="2" borderId="1" xfId="0" applyNumberFormat="1" applyFont="1" applyFill="1" applyBorder="1"/>
    <xf numFmtId="165" fontId="9" fillId="2" borderId="1" xfId="0" applyNumberFormat="1" applyFont="1" applyFill="1" applyBorder="1"/>
    <xf numFmtId="0" fontId="7" fillId="2" borderId="0" xfId="0" applyFont="1" applyFill="1"/>
    <xf numFmtId="0" fontId="5" fillId="2" borderId="0" xfId="0" applyFont="1" applyFill="1"/>
    <xf numFmtId="0" fontId="0" fillId="8" borderId="9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0" fillId="2" borderId="2" xfId="0" applyFont="1" applyFill="1" applyBorder="1"/>
    <xf numFmtId="0" fontId="0" fillId="2" borderId="4" xfId="0" applyFon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5" fillId="4" borderId="1" xfId="0" applyNumberFormat="1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910165</xdr:colOff>
      <xdr:row>0</xdr:row>
      <xdr:rowOff>162313</xdr:rowOff>
    </xdr:from>
    <xdr:to>
      <xdr:col>12</xdr:col>
      <xdr:colOff>286469</xdr:colOff>
      <xdr:row>0</xdr:row>
      <xdr:rowOff>3132667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3C63E-6057-D244-9295-F91D76F08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0165" y="162313"/>
          <a:ext cx="6477721" cy="2970354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0</xdr:row>
      <xdr:rowOff>0</xdr:rowOff>
    </xdr:from>
    <xdr:to>
      <xdr:col>3</xdr:col>
      <xdr:colOff>2095500</xdr:colOff>
      <xdr:row>0</xdr:row>
      <xdr:rowOff>3068196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195875-7359-3745-A1BD-3BBF06137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" y="0"/>
          <a:ext cx="4180417" cy="3068196"/>
        </a:xfrm>
        <a:prstGeom prst="rect">
          <a:avLst/>
        </a:prstGeom>
      </xdr:spPr>
    </xdr:pic>
    <xdr:clientData/>
  </xdr:twoCellAnchor>
  <xdr:twoCellAnchor editAs="oneCell">
    <xdr:from>
      <xdr:col>3</xdr:col>
      <xdr:colOff>1957916</xdr:colOff>
      <xdr:row>0</xdr:row>
      <xdr:rowOff>0</xdr:rowOff>
    </xdr:from>
    <xdr:to>
      <xdr:col>6</xdr:col>
      <xdr:colOff>793750</xdr:colOff>
      <xdr:row>0</xdr:row>
      <xdr:rowOff>3116909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F52D40-8EE5-A64D-979C-A4DDF0C2E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6833" y="0"/>
          <a:ext cx="4116917" cy="3116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A1:W61"/>
  <sheetViews>
    <sheetView tabSelected="1" topLeftCell="A9" zoomScale="194" zoomScaleNormal="194" zoomScalePageLayoutView="150" workbookViewId="0">
      <selection activeCell="E21" sqref="E21"/>
    </sheetView>
  </sheetViews>
  <sheetFormatPr baseColWidth="10" defaultRowHeight="16" x14ac:dyDescent="0.2"/>
  <cols>
    <col min="1" max="1" width="10.5" style="1" customWidth="1"/>
    <col min="2" max="2" width="10.83203125" style="1"/>
    <col min="3" max="3" width="9.33203125" style="1" customWidth="1"/>
    <col min="4" max="4" width="34.83203125" style="1" customWidth="1"/>
    <col min="5" max="5" width="20.33203125" style="1" customWidth="1"/>
    <col min="6" max="6" width="14.1640625" style="1" customWidth="1"/>
    <col min="7" max="7" width="27.5" style="1" customWidth="1"/>
    <col min="8" max="8" width="2.5" style="1" customWidth="1"/>
    <col min="9" max="9" width="30.6640625" style="1" customWidth="1"/>
    <col min="10" max="10" width="12.33203125" style="1" customWidth="1"/>
    <col min="11" max="11" width="15.1640625" style="1" customWidth="1"/>
    <col min="12" max="12" width="5" style="1" customWidth="1"/>
    <col min="13" max="13" width="33.5" style="1" bestFit="1" customWidth="1"/>
    <col min="14" max="14" width="8.33203125" style="1" customWidth="1"/>
    <col min="15" max="15" width="18.83203125" style="1" customWidth="1"/>
    <col min="16" max="16" width="11" style="1" customWidth="1"/>
    <col min="17" max="17" width="12.1640625" style="1" customWidth="1"/>
    <col min="18" max="21" width="10.83203125" style="1"/>
    <col min="22" max="22" width="12.6640625" style="1" customWidth="1"/>
    <col min="23" max="23" width="13.33203125" style="1" customWidth="1"/>
    <col min="24" max="16384" width="10.83203125" style="1"/>
  </cols>
  <sheetData>
    <row r="1" spans="2:15" ht="251" customHeight="1" x14ac:dyDescent="0.2">
      <c r="M1" s="77"/>
    </row>
    <row r="2" spans="2:15" x14ac:dyDescent="0.2">
      <c r="B2" s="1" t="s">
        <v>0</v>
      </c>
      <c r="E2" s="19" t="s">
        <v>14</v>
      </c>
      <c r="M2" s="77" t="s">
        <v>29</v>
      </c>
    </row>
    <row r="3" spans="2:15" x14ac:dyDescent="0.2">
      <c r="B3" s="1" t="s">
        <v>109</v>
      </c>
      <c r="E3" s="3" t="s">
        <v>7</v>
      </c>
      <c r="M3" s="77" t="s">
        <v>30</v>
      </c>
    </row>
    <row r="4" spans="2:15" x14ac:dyDescent="0.2">
      <c r="B4" s="1" t="s">
        <v>34</v>
      </c>
      <c r="E4" s="78" t="s">
        <v>8</v>
      </c>
      <c r="M4" s="77"/>
    </row>
    <row r="5" spans="2:15" x14ac:dyDescent="0.2">
      <c r="B5" s="1" t="s">
        <v>66</v>
      </c>
    </row>
    <row r="7" spans="2:15" ht="16" customHeight="1" thickBot="1" x14ac:dyDescent="0.25">
      <c r="C7" s="97" t="s">
        <v>4</v>
      </c>
      <c r="D7" s="98"/>
      <c r="E7" s="101" t="s">
        <v>5</v>
      </c>
      <c r="F7" s="101"/>
      <c r="G7" s="102" t="s">
        <v>1</v>
      </c>
      <c r="N7" s="1" t="s">
        <v>62</v>
      </c>
    </row>
    <row r="8" spans="2:15" ht="16" customHeight="1" x14ac:dyDescent="0.2">
      <c r="C8" s="99"/>
      <c r="D8" s="100"/>
      <c r="E8" s="4" t="s">
        <v>2</v>
      </c>
      <c r="F8" s="4" t="s">
        <v>3</v>
      </c>
      <c r="G8" s="102"/>
      <c r="I8" s="96" t="s">
        <v>9</v>
      </c>
      <c r="J8" s="39" t="s">
        <v>59</v>
      </c>
      <c r="K8" s="39" t="s">
        <v>18</v>
      </c>
      <c r="M8" s="30"/>
      <c r="N8" s="37"/>
      <c r="O8" s="31"/>
    </row>
    <row r="9" spans="2:15" ht="17" thickBot="1" x14ac:dyDescent="0.25">
      <c r="C9" s="93" t="s">
        <v>97</v>
      </c>
      <c r="D9" s="94"/>
      <c r="E9" s="94"/>
      <c r="F9" s="94"/>
      <c r="G9" s="95"/>
      <c r="I9" s="96"/>
      <c r="J9" s="12" t="s">
        <v>60</v>
      </c>
      <c r="K9" s="12" t="s">
        <v>20</v>
      </c>
      <c r="M9" s="41"/>
      <c r="N9" s="42"/>
      <c r="O9" s="43"/>
    </row>
    <row r="10" spans="2:15" x14ac:dyDescent="0.2">
      <c r="C10" s="24" t="s">
        <v>111</v>
      </c>
      <c r="D10" s="25"/>
      <c r="E10" s="74">
        <v>900</v>
      </c>
      <c r="F10" s="2" t="s">
        <v>6</v>
      </c>
      <c r="G10" s="2"/>
      <c r="I10" s="2" t="s">
        <v>10</v>
      </c>
      <c r="J10" s="13"/>
      <c r="K10" s="13"/>
      <c r="M10" s="44"/>
      <c r="N10" s="45" t="s">
        <v>44</v>
      </c>
      <c r="O10" s="46" t="s">
        <v>51</v>
      </c>
    </row>
    <row r="11" spans="2:15" x14ac:dyDescent="0.2">
      <c r="C11" s="64"/>
      <c r="D11" s="65"/>
      <c r="E11" s="69">
        <f>E10/4.45</f>
        <v>202.24719101123594</v>
      </c>
      <c r="F11" s="24" t="s">
        <v>11</v>
      </c>
      <c r="G11" s="2"/>
      <c r="I11" s="2" t="s">
        <v>19</v>
      </c>
      <c r="J11" s="13">
        <v>95</v>
      </c>
      <c r="K11" s="13">
        <v>69</v>
      </c>
      <c r="M11" s="32" t="s">
        <v>38</v>
      </c>
      <c r="N11" s="29">
        <v>1</v>
      </c>
      <c r="O11" s="47">
        <v>1</v>
      </c>
    </row>
    <row r="12" spans="2:15" x14ac:dyDescent="0.2">
      <c r="C12" s="64" t="s">
        <v>110</v>
      </c>
      <c r="D12" s="65"/>
      <c r="E12" s="113">
        <f>15*0.0254</f>
        <v>0.38100000000000001</v>
      </c>
      <c r="F12" s="24" t="s">
        <v>33</v>
      </c>
      <c r="G12" s="2"/>
      <c r="I12" s="2" t="s">
        <v>90</v>
      </c>
      <c r="J12" s="13">
        <v>70</v>
      </c>
      <c r="K12" s="13">
        <v>117</v>
      </c>
      <c r="M12" s="32" t="s">
        <v>39</v>
      </c>
      <c r="N12" s="29">
        <v>0.5</v>
      </c>
      <c r="O12" s="33">
        <v>0.65</v>
      </c>
    </row>
    <row r="13" spans="2:15" x14ac:dyDescent="0.2">
      <c r="C13" s="64"/>
      <c r="D13" s="65"/>
      <c r="E13" s="69">
        <f>E12/0.0254</f>
        <v>15</v>
      </c>
      <c r="F13" s="24" t="s">
        <v>96</v>
      </c>
      <c r="G13" s="2"/>
      <c r="I13" s="2" t="s">
        <v>91</v>
      </c>
      <c r="J13" s="13">
        <v>45</v>
      </c>
      <c r="K13" s="13">
        <v>2</v>
      </c>
      <c r="M13" s="32" t="s">
        <v>40</v>
      </c>
      <c r="N13" s="29">
        <v>0.70699999999999996</v>
      </c>
      <c r="O13" s="33">
        <v>0.8</v>
      </c>
    </row>
    <row r="14" spans="2:15" x14ac:dyDescent="0.2">
      <c r="C14" s="64" t="s">
        <v>99</v>
      </c>
      <c r="D14" s="65"/>
      <c r="E14" s="74">
        <v>4</v>
      </c>
      <c r="F14" s="24"/>
      <c r="G14" s="2"/>
      <c r="I14" s="2" t="s">
        <v>92</v>
      </c>
      <c r="J14" s="13">
        <v>502</v>
      </c>
      <c r="K14" s="13">
        <v>190</v>
      </c>
      <c r="M14" s="32" t="s">
        <v>41</v>
      </c>
      <c r="N14" s="29">
        <v>2</v>
      </c>
      <c r="O14" s="33">
        <v>2.1</v>
      </c>
    </row>
    <row r="15" spans="2:15" x14ac:dyDescent="0.2">
      <c r="C15" s="64" t="s">
        <v>112</v>
      </c>
      <c r="D15" s="65"/>
      <c r="E15" s="69">
        <f>ForceTOT/N_links</f>
        <v>225</v>
      </c>
      <c r="F15" s="24" t="s">
        <v>6</v>
      </c>
      <c r="G15" s="2" t="s">
        <v>113</v>
      </c>
      <c r="I15" s="2" t="s">
        <v>93</v>
      </c>
      <c r="J15" s="13">
        <v>250</v>
      </c>
      <c r="K15" s="13">
        <v>200</v>
      </c>
      <c r="M15" s="32" t="s">
        <v>42</v>
      </c>
      <c r="N15" s="29">
        <v>1</v>
      </c>
      <c r="O15" s="33">
        <v>1.2</v>
      </c>
    </row>
    <row r="16" spans="2:15" ht="17" thickBot="1" x14ac:dyDescent="0.25">
      <c r="C16" s="105" t="s">
        <v>101</v>
      </c>
      <c r="D16" s="106"/>
      <c r="E16" s="10">
        <v>0.1086</v>
      </c>
      <c r="F16" s="24" t="s">
        <v>33</v>
      </c>
      <c r="G16" s="2"/>
      <c r="I16" s="2" t="s">
        <v>94</v>
      </c>
      <c r="J16" s="13">
        <v>730</v>
      </c>
      <c r="K16" s="13">
        <v>110</v>
      </c>
      <c r="M16" s="34" t="s">
        <v>43</v>
      </c>
      <c r="N16" s="35">
        <v>2</v>
      </c>
      <c r="O16" s="36">
        <v>2</v>
      </c>
    </row>
    <row r="17" spans="3:23" x14ac:dyDescent="0.2">
      <c r="C17" s="105" t="s">
        <v>100</v>
      </c>
      <c r="D17" s="106"/>
      <c r="E17" s="10">
        <v>0.2155</v>
      </c>
      <c r="F17" s="24" t="s">
        <v>33</v>
      </c>
      <c r="G17" s="2"/>
      <c r="I17" s="2"/>
      <c r="J17" s="13"/>
      <c r="K17" s="13"/>
    </row>
    <row r="18" spans="3:23" ht="21" x14ac:dyDescent="0.25">
      <c r="C18" s="72" t="s">
        <v>102</v>
      </c>
      <c r="D18" s="73"/>
      <c r="E18" s="76">
        <f>(ForceTOT/N_links)*L_star*SQRT( (1/ (L_B^2)) +(1/(H_O^2)))</f>
        <v>883.93328572009193</v>
      </c>
      <c r="F18" s="24" t="s">
        <v>6</v>
      </c>
      <c r="G18" s="2"/>
      <c r="I18" s="2"/>
      <c r="J18" s="13"/>
      <c r="K18" s="13"/>
      <c r="M18" s="79" t="s">
        <v>49</v>
      </c>
      <c r="N18" s="59" t="s">
        <v>22</v>
      </c>
      <c r="O18" s="59" t="s">
        <v>50</v>
      </c>
      <c r="P18" s="59" t="s">
        <v>37</v>
      </c>
      <c r="Q18" s="59" t="s">
        <v>108</v>
      </c>
      <c r="R18" s="59" t="s">
        <v>107</v>
      </c>
      <c r="S18" s="85" t="s">
        <v>75</v>
      </c>
      <c r="T18" s="86"/>
      <c r="U18" s="87"/>
      <c r="V18" s="88" t="s">
        <v>73</v>
      </c>
      <c r="W18" s="89"/>
    </row>
    <row r="19" spans="3:23" x14ac:dyDescent="0.2">
      <c r="C19" s="72"/>
      <c r="D19" s="73"/>
      <c r="E19" s="75">
        <f>E18/4.45</f>
        <v>198.63669342024536</v>
      </c>
      <c r="F19" s="24" t="s">
        <v>11</v>
      </c>
      <c r="G19" s="2"/>
      <c r="I19" s="2"/>
      <c r="J19" s="13"/>
      <c r="K19" s="13"/>
      <c r="M19" s="80"/>
      <c r="N19" s="59" t="s">
        <v>48</v>
      </c>
      <c r="O19" s="59" t="s">
        <v>36</v>
      </c>
      <c r="P19" s="59" t="s">
        <v>76</v>
      </c>
      <c r="Q19" s="59" t="s">
        <v>74</v>
      </c>
      <c r="R19" s="59" t="s">
        <v>74</v>
      </c>
      <c r="S19" s="57" t="s">
        <v>70</v>
      </c>
      <c r="T19" s="57" t="s">
        <v>71</v>
      </c>
      <c r="U19" s="57" t="s">
        <v>72</v>
      </c>
      <c r="V19" s="56" t="s">
        <v>82</v>
      </c>
      <c r="W19" s="56" t="s">
        <v>72</v>
      </c>
    </row>
    <row r="20" spans="3:23" x14ac:dyDescent="0.2">
      <c r="C20" s="64" t="s">
        <v>98</v>
      </c>
      <c r="D20" s="65"/>
      <c r="E20" s="71">
        <v>100</v>
      </c>
      <c r="F20" s="24" t="s">
        <v>11</v>
      </c>
      <c r="G20" s="2"/>
      <c r="I20" s="2"/>
      <c r="J20" s="13"/>
      <c r="K20" s="13"/>
      <c r="M20" s="2" t="s">
        <v>21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3:23" x14ac:dyDescent="0.2">
      <c r="C21" s="64"/>
      <c r="D21" s="65"/>
      <c r="E21" s="71">
        <f>E20*4.45</f>
        <v>445</v>
      </c>
      <c r="F21" s="24" t="s">
        <v>6</v>
      </c>
      <c r="G21" s="2"/>
      <c r="I21" s="2"/>
      <c r="J21" s="13"/>
      <c r="K21" s="13"/>
      <c r="M21" s="57" t="s">
        <v>23</v>
      </c>
      <c r="N21" s="61">
        <f>MIN(Q21:R21)/1000000000000</f>
        <v>1.1558649999999996E-11</v>
      </c>
      <c r="O21" s="61">
        <f>P21/1000000</f>
        <v>2.622E-5</v>
      </c>
      <c r="P21" s="58">
        <f>S21*T21</f>
        <v>26.22</v>
      </c>
      <c r="Q21" s="58">
        <f>(1/12)*S21*(T21^3)</f>
        <v>283.96260000000001</v>
      </c>
      <c r="R21" s="58">
        <f>(1/12)*T21*(S21^3)</f>
        <v>11.558649999999997</v>
      </c>
      <c r="S21" s="60">
        <v>2.2999999999999998</v>
      </c>
      <c r="T21" s="60">
        <v>11.4</v>
      </c>
      <c r="U21" s="2"/>
      <c r="V21" s="2"/>
      <c r="W21" s="2"/>
    </row>
    <row r="22" spans="3:23" x14ac:dyDescent="0.2">
      <c r="C22" s="70" t="s">
        <v>105</v>
      </c>
      <c r="D22" s="65"/>
      <c r="E22" s="71">
        <f>E21/4</f>
        <v>111.25</v>
      </c>
      <c r="F22" s="24" t="s">
        <v>6</v>
      </c>
      <c r="G22" s="2"/>
      <c r="I22" s="2"/>
      <c r="J22" s="13"/>
      <c r="K22" s="13"/>
      <c r="M22" s="57" t="s">
        <v>24</v>
      </c>
      <c r="N22" s="61">
        <f>MIN(Q22:R22)/1000000000000</f>
        <v>0</v>
      </c>
      <c r="O22" s="61">
        <f>P22/1000000</f>
        <v>0</v>
      </c>
      <c r="P22" s="58">
        <f>(S22*T22 - (S22-2*U22)*(T22-2*U22))</f>
        <v>0</v>
      </c>
      <c r="Q22" s="58">
        <f>(1/12)*S22*(T22^3) - (1/12)*(S22 - 2*U22)*((T22-2*U22)^3)</f>
        <v>0</v>
      </c>
      <c r="R22" s="58">
        <f>(1/12)*T22*(S22^3)-(1/12)*(T22-2*U22)*((S22-2*U22)^3)</f>
        <v>0</v>
      </c>
      <c r="S22" s="60"/>
      <c r="T22" s="60"/>
      <c r="U22" s="60"/>
      <c r="V22" s="2"/>
      <c r="W22" s="2"/>
    </row>
    <row r="23" spans="3:23" x14ac:dyDescent="0.2">
      <c r="C23" s="90" t="s">
        <v>114</v>
      </c>
      <c r="D23" s="91"/>
      <c r="E23" s="91"/>
      <c r="F23" s="91"/>
      <c r="G23" s="92"/>
      <c r="I23" s="2"/>
      <c r="J23" s="13"/>
      <c r="K23" s="13"/>
      <c r="M23" s="56" t="s">
        <v>25</v>
      </c>
      <c r="N23" s="66">
        <f>Q23/1000000000000</f>
        <v>0</v>
      </c>
      <c r="O23" s="66">
        <f>P23/1000000</f>
        <v>0</v>
      </c>
      <c r="P23" s="14">
        <f>PI()* (V23/2)^2</f>
        <v>0</v>
      </c>
      <c r="Q23" s="14">
        <f>(PI()/64)*(V23^4)</f>
        <v>0</v>
      </c>
      <c r="R23" s="2"/>
      <c r="S23" s="2"/>
      <c r="T23" s="2"/>
      <c r="U23" s="2"/>
      <c r="V23" s="3"/>
      <c r="W23" s="2"/>
    </row>
    <row r="24" spans="3:23" x14ac:dyDescent="0.2">
      <c r="C24" s="6" t="s">
        <v>16</v>
      </c>
      <c r="D24" s="7"/>
      <c r="E24" s="40" t="s">
        <v>92</v>
      </c>
      <c r="F24" s="8" t="s">
        <v>12</v>
      </c>
      <c r="G24" s="2"/>
      <c r="I24" s="2"/>
      <c r="J24" s="13"/>
      <c r="K24" s="13"/>
      <c r="M24" s="56" t="s">
        <v>26</v>
      </c>
      <c r="N24" s="66">
        <f>Q24/1000000000000</f>
        <v>0</v>
      </c>
      <c r="O24" s="66">
        <f>P24/1000000</f>
        <v>0</v>
      </c>
      <c r="P24" s="14">
        <f>(PI()*(V24/2)^2)- (PI()*( (V24-2*W24)/2)^2)</f>
        <v>0</v>
      </c>
      <c r="Q24" s="14">
        <f>(PI()/64)*((V24^4)-((V24-2*W24)^4))</f>
        <v>0</v>
      </c>
      <c r="R24" s="2"/>
      <c r="S24" s="2"/>
      <c r="T24" s="2"/>
      <c r="U24" s="2"/>
      <c r="V24" s="3"/>
      <c r="W24" s="3"/>
    </row>
    <row r="25" spans="3:23" x14ac:dyDescent="0.2">
      <c r="C25" s="52" t="s">
        <v>52</v>
      </c>
      <c r="D25" s="9"/>
      <c r="E25" s="15">
        <f>E26*1000000000</f>
        <v>190000000000</v>
      </c>
      <c r="F25" s="5" t="s">
        <v>83</v>
      </c>
      <c r="G25" s="2"/>
      <c r="I25" s="2"/>
      <c r="J25" s="13"/>
      <c r="K25" s="13"/>
      <c r="M25" s="63" t="s">
        <v>95</v>
      </c>
      <c r="N25" s="63"/>
      <c r="O25" s="63"/>
      <c r="P25" s="2"/>
      <c r="Q25" s="2"/>
      <c r="R25" s="2"/>
      <c r="S25" s="3"/>
      <c r="T25" s="3"/>
      <c r="U25" s="3"/>
      <c r="V25" s="2"/>
      <c r="W25" s="2"/>
    </row>
    <row r="26" spans="3:23" x14ac:dyDescent="0.2">
      <c r="C26" s="8"/>
      <c r="D26" s="9"/>
      <c r="E26" s="13">
        <f>IF(C_mat=I10,K10,IF(C_mat=I11,K11,IF(C_mat=I12,K12,IF(C_mat=I13,K13,IF(C_mat=I14,K14,IF(C_mat=I15,K15,IF(C_mat=I16,K16,IF(C_mat=I17,K17,IF(C_mat=I18,K18,IF(C_mat=I19,K19,IF(C_mat=I20,K20,IF(C_mat=I21,K21,IF(C_mat=I22,K22,IF(C_mat=I23,K23,IF(C_mat=I24,K24,IF(C_mat=I25,K25,IF(C_mat=I26,K26,IF(C_mat=I27,K27,"Error"))))))))))))))))))</f>
        <v>190</v>
      </c>
      <c r="F26" s="8" t="s">
        <v>20</v>
      </c>
      <c r="G26" s="2"/>
      <c r="I26" s="2"/>
      <c r="J26" s="13"/>
      <c r="K26" s="13"/>
      <c r="M26" s="2" t="s">
        <v>77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3:23" ht="16" customHeight="1" x14ac:dyDescent="0.2">
      <c r="C27" s="52" t="s">
        <v>61</v>
      </c>
      <c r="D27" s="25"/>
      <c r="E27" s="13">
        <f>IF(C_mat=I10,J10,IF(C_mat=I11,J11,IF(C_mat=I12,J12,IF(C_mat=I13,J13,IF(C_mat=I14,J14,IF(C_mat=I15,J15,IF(C_mat=I16,J16,IF(C_mat=I17,J17,IF(C_mat=I18,J18,IF(C_mat=I19,J19,IF(C_mat=I20,J20,IF(C_mat=I21,J21,IF(C_mat=I22,J22,IF(C_mat=I23,J23,IF(C_mat=I24,J24,IF(C_mat=I25,J25,IF(C_mat=I26,J26,IF(C_mat=I27,J27,"Error"))))))))))))))))))</f>
        <v>502</v>
      </c>
      <c r="F27" s="24" t="s">
        <v>60</v>
      </c>
      <c r="G27" s="2"/>
      <c r="I27" s="2"/>
      <c r="J27" s="13"/>
      <c r="K27" s="13"/>
      <c r="M27" s="2" t="s">
        <v>27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3:23" ht="17" x14ac:dyDescent="0.2">
      <c r="C28" s="21" t="s">
        <v>15</v>
      </c>
      <c r="D28" s="22"/>
      <c r="E28" s="53" t="s">
        <v>38</v>
      </c>
      <c r="F28" s="23" t="s">
        <v>12</v>
      </c>
      <c r="G28" s="2"/>
    </row>
    <row r="29" spans="3:23" x14ac:dyDescent="0.2">
      <c r="C29" s="26" t="s">
        <v>54</v>
      </c>
      <c r="D29" s="27"/>
      <c r="E29" s="24">
        <f>IF(select_boundary=M11, N11, IF(select_boundary=M12, N12, IF( select_boundary = M13, N13, IF(select_boundary=M14, N14, IF(select_boundary=M15, N15, IF(select_boundary=M16, N16, "Error"))))))</f>
        <v>1</v>
      </c>
      <c r="F29" s="24"/>
      <c r="G29" s="2"/>
    </row>
    <row r="30" spans="3:23" x14ac:dyDescent="0.2">
      <c r="C30" s="26" t="s">
        <v>53</v>
      </c>
      <c r="D30" s="27"/>
      <c r="E30" s="24">
        <f>IF(select_boundary=M11, O11, IF(select_boundary=M12, O12, IF( select_boundary = M13, O13, IF(select_boundary=M14, O14, IF(select_boundary=M15, O15, IF(select_boundary=M16, O16, "Error"))))))</f>
        <v>1</v>
      </c>
      <c r="F30" s="24"/>
      <c r="G30" s="2"/>
    </row>
    <row r="31" spans="3:23" x14ac:dyDescent="0.2">
      <c r="C31" s="49" t="s">
        <v>55</v>
      </c>
      <c r="D31" s="48"/>
      <c r="E31" s="51" t="s">
        <v>51</v>
      </c>
      <c r="F31" s="24"/>
      <c r="G31" s="2"/>
    </row>
    <row r="32" spans="3:23" x14ac:dyDescent="0.2">
      <c r="C32" s="50" t="s">
        <v>56</v>
      </c>
      <c r="D32" s="27"/>
      <c r="E32" s="24">
        <f>IF(select_Cconst=N10,E29,IF(select_Cconst=O10,E30,"Error"))</f>
        <v>1</v>
      </c>
      <c r="F32" s="24"/>
      <c r="G32" s="2"/>
    </row>
    <row r="33" spans="1:7" x14ac:dyDescent="0.2">
      <c r="C33" s="103" t="s">
        <v>17</v>
      </c>
      <c r="D33" s="104"/>
      <c r="E33" s="10">
        <v>0.24099999999999999</v>
      </c>
      <c r="F33" s="5" t="s">
        <v>33</v>
      </c>
      <c r="G33" s="2" t="s">
        <v>103</v>
      </c>
    </row>
    <row r="34" spans="1:7" x14ac:dyDescent="0.2">
      <c r="C34" s="67"/>
      <c r="D34" s="68"/>
      <c r="E34" s="29">
        <f>L_column/0.0254</f>
        <v>9.4881889763779537</v>
      </c>
      <c r="F34" s="24" t="s">
        <v>96</v>
      </c>
      <c r="G34" s="2"/>
    </row>
    <row r="35" spans="1:7" x14ac:dyDescent="0.2">
      <c r="A35" s="18"/>
      <c r="C35" s="8" t="s">
        <v>47</v>
      </c>
      <c r="D35" s="9"/>
      <c r="E35" s="20" t="s">
        <v>23</v>
      </c>
      <c r="F35" s="8" t="s">
        <v>12</v>
      </c>
      <c r="G35" s="2"/>
    </row>
    <row r="36" spans="1:7" x14ac:dyDescent="0.2">
      <c r="A36" s="18"/>
      <c r="C36" s="8" t="s">
        <v>69</v>
      </c>
      <c r="D36" s="9"/>
      <c r="E36" s="15">
        <f>IF(select_geom=M20,N20,IF(select_geom=M21,N21,IF(select_geom=M22,N22,IF(select_geom=M23,N23,IF(select_geom=M24,N24,IF(select_geom=M25,N25,IF(select_geom=M26,N26,IF(select_geom=M27,N27,"Error"))))))))</f>
        <v>1.1558649999999996E-11</v>
      </c>
      <c r="F36" s="8" t="s">
        <v>48</v>
      </c>
      <c r="G36" s="2"/>
    </row>
    <row r="37" spans="1:7" x14ac:dyDescent="0.2">
      <c r="A37" s="18"/>
      <c r="C37" s="24" t="s">
        <v>45</v>
      </c>
      <c r="D37" s="25"/>
      <c r="E37" s="15">
        <f>IF(select_geom=M20,O20,IF(select_geom=M21,O21,IF(select_geom=M22,O22,IF(select_geom=M23,O23,IF(select_geom=M24,O24,IF(select_geom=M25,O25,IF(select_geom=M26,O26,IF(select_geom=M27,O27,"Error"))))))))</f>
        <v>2.622E-5</v>
      </c>
      <c r="F37" s="24" t="s">
        <v>36</v>
      </c>
      <c r="G37" s="2"/>
    </row>
    <row r="38" spans="1:7" x14ac:dyDescent="0.2">
      <c r="A38" s="18"/>
      <c r="C38" s="23" t="s">
        <v>28</v>
      </c>
      <c r="D38" s="9"/>
      <c r="E38" s="38" t="s">
        <v>30</v>
      </c>
      <c r="F38" s="8" t="s">
        <v>31</v>
      </c>
      <c r="G38" s="2"/>
    </row>
    <row r="39" spans="1:7" x14ac:dyDescent="0.2">
      <c r="A39" s="18"/>
      <c r="C39" s="24" t="s">
        <v>67</v>
      </c>
      <c r="D39" s="7"/>
      <c r="E39" s="55">
        <v>1.67E-9</v>
      </c>
      <c r="F39" s="8" t="s">
        <v>48</v>
      </c>
      <c r="G39" s="2"/>
    </row>
    <row r="40" spans="1:7" x14ac:dyDescent="0.2">
      <c r="A40" s="18"/>
      <c r="C40" s="24" t="s">
        <v>46</v>
      </c>
      <c r="D40" s="25"/>
      <c r="E40" s="55">
        <v>2.0000000000000001E-4</v>
      </c>
      <c r="F40" s="24" t="s">
        <v>36</v>
      </c>
      <c r="G40" s="2"/>
    </row>
    <row r="41" spans="1:7" x14ac:dyDescent="0.2">
      <c r="A41" s="18"/>
      <c r="C41" s="52" t="s">
        <v>68</v>
      </c>
      <c r="D41" s="22"/>
      <c r="E41" s="15">
        <f>IF(select_overide="Yes",I_overide, IF(select_overide="No",I_table, "Error"))</f>
        <v>1.1558649999999996E-11</v>
      </c>
      <c r="F41" s="23" t="s">
        <v>48</v>
      </c>
      <c r="G41" s="2"/>
    </row>
    <row r="42" spans="1:7" x14ac:dyDescent="0.2">
      <c r="A42" s="18"/>
      <c r="C42" s="52" t="s">
        <v>57</v>
      </c>
      <c r="D42" s="27"/>
      <c r="E42" s="15">
        <f>IF(select_overide="Yes",A_overide, IF(select_overide="No",E37, "Error"))</f>
        <v>2.622E-5</v>
      </c>
      <c r="F42" s="24" t="s">
        <v>36</v>
      </c>
      <c r="G42" s="2"/>
    </row>
    <row r="43" spans="1:7" x14ac:dyDescent="0.2">
      <c r="A43" s="18"/>
      <c r="C43" s="52" t="s">
        <v>58</v>
      </c>
      <c r="D43" s="27"/>
      <c r="E43" s="15">
        <f>SQRT(I_active/A_active)</f>
        <v>6.6395280956806947E-4</v>
      </c>
      <c r="F43" s="24" t="s">
        <v>33</v>
      </c>
      <c r="G43" s="2"/>
    </row>
    <row r="44" spans="1:7" x14ac:dyDescent="0.2">
      <c r="A44" s="18"/>
      <c r="C44" s="90" t="s">
        <v>32</v>
      </c>
      <c r="D44" s="91"/>
      <c r="E44" s="91"/>
      <c r="F44" s="91"/>
      <c r="G44" s="92"/>
    </row>
    <row r="45" spans="1:7" x14ac:dyDescent="0.2">
      <c r="A45" s="18"/>
      <c r="C45" s="24" t="s">
        <v>64</v>
      </c>
      <c r="D45" s="25"/>
      <c r="E45" s="58">
        <f>L_column/k_active</f>
        <v>362.97760402095611</v>
      </c>
      <c r="F45" s="2" t="s">
        <v>79</v>
      </c>
      <c r="G45" s="2" t="s">
        <v>65</v>
      </c>
    </row>
    <row r="46" spans="1:7" x14ac:dyDescent="0.2">
      <c r="A46" s="18"/>
      <c r="C46" s="64" t="s">
        <v>85</v>
      </c>
      <c r="D46" s="65"/>
      <c r="E46" s="58" t="str">
        <f>IF(E45&lt;=80,"Intermdiate Column",IF((AND(E45&gt;80,E45&lt;120)),"Maybe Intermediate",IF(E45&gt;=120,"Pass Slender Test","Error")))</f>
        <v>Pass Slender Test</v>
      </c>
      <c r="F46" s="24"/>
      <c r="G46" s="2"/>
    </row>
    <row r="47" spans="1:7" x14ac:dyDescent="0.2">
      <c r="A47" s="18"/>
      <c r="C47" s="81" t="s">
        <v>35</v>
      </c>
      <c r="D47" s="82"/>
      <c r="E47" s="16">
        <f>((PI()^2)*E_youngmod*A_active)/(   ( (L_column*C_active)/k_active)^2)</f>
        <v>373.18688646930627</v>
      </c>
      <c r="F47" s="24" t="s">
        <v>6</v>
      </c>
      <c r="G47" s="2"/>
    </row>
    <row r="48" spans="1:7" x14ac:dyDescent="0.2">
      <c r="A48" s="18"/>
      <c r="C48" s="83"/>
      <c r="D48" s="84"/>
      <c r="E48" s="17">
        <f>Fbuckle/4.44822</f>
        <v>83.895779990491988</v>
      </c>
      <c r="F48" s="24" t="s">
        <v>11</v>
      </c>
      <c r="G48" s="2"/>
    </row>
    <row r="49" spans="1:7" x14ac:dyDescent="0.2">
      <c r="A49" s="18"/>
      <c r="C49" s="24" t="s">
        <v>78</v>
      </c>
      <c r="D49" s="25"/>
      <c r="E49" s="16">
        <f>(Fbuckle/A_active)/1000000</f>
        <v>14.232909476327471</v>
      </c>
      <c r="F49" s="2" t="s">
        <v>60</v>
      </c>
      <c r="G49" s="2"/>
    </row>
    <row r="50" spans="1:7" x14ac:dyDescent="0.2">
      <c r="A50" s="18"/>
      <c r="C50" s="62" t="s">
        <v>80</v>
      </c>
      <c r="D50" s="28"/>
      <c r="E50" s="11" t="str">
        <f>IF(E49&gt;(0.5*E27),"FAIL",IF(E49&lt;=(0.5*E27),"PASS","Error"))</f>
        <v>PASS</v>
      </c>
      <c r="F50" s="24"/>
      <c r="G50" s="2" t="s">
        <v>81</v>
      </c>
    </row>
    <row r="51" spans="1:7" x14ac:dyDescent="0.2">
      <c r="C51" s="93" t="s">
        <v>104</v>
      </c>
      <c r="D51" s="94"/>
      <c r="E51" s="94"/>
      <c r="F51" s="94"/>
      <c r="G51" s="95"/>
    </row>
    <row r="52" spans="1:7" x14ac:dyDescent="0.2">
      <c r="C52" s="24" t="s">
        <v>106</v>
      </c>
      <c r="D52" s="25"/>
      <c r="E52" s="11">
        <f>Fbuckle/(E22*SQRT((1/(E16^2))+(1/(E17^2))))</f>
        <v>0.32532269434938155</v>
      </c>
      <c r="F52" s="2" t="s">
        <v>33</v>
      </c>
      <c r="G52" s="2"/>
    </row>
    <row r="53" spans="1:7" x14ac:dyDescent="0.2">
      <c r="C53" s="64"/>
      <c r="D53" s="65"/>
      <c r="E53" s="16">
        <f>E52/0.0254</f>
        <v>12.807980092495336</v>
      </c>
      <c r="F53" s="24" t="s">
        <v>96</v>
      </c>
      <c r="G53" s="2"/>
    </row>
    <row r="54" spans="1:7" x14ac:dyDescent="0.2">
      <c r="C54" s="90" t="s">
        <v>86</v>
      </c>
      <c r="D54" s="91"/>
      <c r="E54" s="91"/>
      <c r="F54" s="91"/>
      <c r="G54" s="92"/>
    </row>
    <row r="55" spans="1:7" x14ac:dyDescent="0.2">
      <c r="C55" s="24" t="s">
        <v>87</v>
      </c>
      <c r="D55" s="25"/>
      <c r="E55" s="16">
        <f xml:space="preserve"> ((sigma_yield*1000000)-  (1/E_youngmod)*( ( ((sigma_yield*1000000)/(2*PI()))^2))* (( (C_active*L_column)/k_active)^2))/1000000</f>
        <v>-3924.4315813140533</v>
      </c>
      <c r="F55" s="2" t="s">
        <v>60</v>
      </c>
      <c r="G55" s="2" t="s">
        <v>89</v>
      </c>
    </row>
    <row r="56" spans="1:7" x14ac:dyDescent="0.2">
      <c r="C56" s="64" t="s">
        <v>88</v>
      </c>
      <c r="D56" s="65"/>
      <c r="E56" s="54">
        <f>A_active*(E55*1000000)</f>
        <v>-102898.59606205448</v>
      </c>
      <c r="F56" s="24" t="s">
        <v>6</v>
      </c>
      <c r="G56" s="2" t="s">
        <v>89</v>
      </c>
    </row>
    <row r="57" spans="1:7" x14ac:dyDescent="0.2">
      <c r="C57" s="90" t="s">
        <v>13</v>
      </c>
      <c r="D57" s="91"/>
      <c r="E57" s="91"/>
      <c r="F57" s="91"/>
      <c r="G57" s="92"/>
    </row>
    <row r="58" spans="1:7" x14ac:dyDescent="0.2">
      <c r="C58" s="107" t="s">
        <v>63</v>
      </c>
      <c r="D58" s="108"/>
      <c r="E58" s="108"/>
      <c r="F58" s="108"/>
      <c r="G58" s="109"/>
    </row>
    <row r="59" spans="1:7" x14ac:dyDescent="0.2">
      <c r="C59" s="107" t="s">
        <v>84</v>
      </c>
      <c r="D59" s="108"/>
      <c r="E59" s="108"/>
      <c r="F59" s="108"/>
      <c r="G59" s="109"/>
    </row>
    <row r="60" spans="1:7" x14ac:dyDescent="0.2">
      <c r="C60" s="110"/>
      <c r="D60" s="111"/>
      <c r="E60" s="111"/>
      <c r="F60" s="111"/>
      <c r="G60" s="112"/>
    </row>
    <row r="61" spans="1:7" x14ac:dyDescent="0.2">
      <c r="C61" s="110"/>
      <c r="D61" s="111"/>
      <c r="E61" s="111"/>
      <c r="F61" s="111"/>
      <c r="G61" s="112"/>
    </row>
  </sheetData>
  <mergeCells count="21">
    <mergeCell ref="C57:G57"/>
    <mergeCell ref="C59:G59"/>
    <mergeCell ref="C61:G61"/>
    <mergeCell ref="C60:G60"/>
    <mergeCell ref="C58:G58"/>
    <mergeCell ref="I8:I9"/>
    <mergeCell ref="C44:G44"/>
    <mergeCell ref="C7:D8"/>
    <mergeCell ref="E7:F7"/>
    <mergeCell ref="G7:G8"/>
    <mergeCell ref="C23:G23"/>
    <mergeCell ref="C33:D33"/>
    <mergeCell ref="C9:G9"/>
    <mergeCell ref="C16:D16"/>
    <mergeCell ref="C17:D17"/>
    <mergeCell ref="M18:M19"/>
    <mergeCell ref="C47:D48"/>
    <mergeCell ref="S18:U18"/>
    <mergeCell ref="V18:W18"/>
    <mergeCell ref="C54:G54"/>
    <mergeCell ref="C51:G51"/>
  </mergeCells>
  <dataValidations count="5">
    <dataValidation type="list" allowBlank="1" showInputMessage="1" showErrorMessage="1" sqref="E35" xr:uid="{BEB45FE7-3A76-9A4B-91AA-F76011D7423C}">
      <formula1>$M$20:$M$27</formula1>
    </dataValidation>
    <dataValidation type="list" allowBlank="1" showInputMessage="1" showErrorMessage="1" sqref="E38" xr:uid="{FB0D7EAD-32F8-1D43-93B7-2359C99ABF68}">
      <formula1>$M$2:$M$3</formula1>
    </dataValidation>
    <dataValidation type="list" allowBlank="1" showInputMessage="1" showErrorMessage="1" sqref="E31" xr:uid="{6CC7A43E-3020-A545-BA7C-1B84940C7159}">
      <formula1>$N$10:$O$10</formula1>
    </dataValidation>
    <dataValidation type="list" allowBlank="1" showInputMessage="1" showErrorMessage="1" sqref="E24:E26" xr:uid="{ECF76D3E-FCC9-4A4E-A865-7C73621575D4}">
      <formula1>$I$10:$I$27</formula1>
    </dataValidation>
    <dataValidation type="list" allowBlank="1" showInputMessage="1" showErrorMessage="1" sqref="E28" xr:uid="{62516A1F-60ED-1843-9FA7-0330305B476F}">
      <formula1>$M$11:$M$16</formula1>
    </dataValidation>
  </dataValidation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size="24" baseType="lpstr">
      <vt:lpstr>Euler Buckling Folding Shelf</vt:lpstr>
      <vt:lpstr>A_active</vt:lpstr>
      <vt:lpstr>A_overide</vt:lpstr>
      <vt:lpstr>A_table</vt:lpstr>
      <vt:lpstr>C_active</vt:lpstr>
      <vt:lpstr>C_mat</vt:lpstr>
      <vt:lpstr>E_youngmod</vt:lpstr>
      <vt:lpstr>Fbuckle</vt:lpstr>
      <vt:lpstr>ForceTOT</vt:lpstr>
      <vt:lpstr>H_O</vt:lpstr>
      <vt:lpstr>I_active</vt:lpstr>
      <vt:lpstr>I_overide</vt:lpstr>
      <vt:lpstr>I_table</vt:lpstr>
      <vt:lpstr>k_active</vt:lpstr>
      <vt:lpstr>L_B</vt:lpstr>
      <vt:lpstr>L_column</vt:lpstr>
      <vt:lpstr>L_star</vt:lpstr>
      <vt:lpstr>mode</vt:lpstr>
      <vt:lpstr>N_links</vt:lpstr>
      <vt:lpstr>select_boundary</vt:lpstr>
      <vt:lpstr>select_Cconst</vt:lpstr>
      <vt:lpstr>select_geom</vt:lpstr>
      <vt:lpstr>select_overide</vt:lpstr>
      <vt:lpstr>sigma_yield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2020-08-15T22:37:20Z</dcterms:modified>
</cp:coreProperties>
</file>